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225" windowHeight="8490" activeTab="0"/>
  </bookViews>
  <sheets>
    <sheet name="Sheet1" sheetId="1" r:id="rId1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<sst xmlns="http://schemas.openxmlformats.org/spreadsheetml/2006/main" count="67" uniqueCount="64">
  <si>
    <t>Sales Price</t>
  </si>
  <si>
    <t>Type Lien</t>
  </si>
  <si>
    <t>Buyer:</t>
  </si>
  <si>
    <t>Address:</t>
  </si>
  <si>
    <t>FHA</t>
  </si>
  <si>
    <t>VA</t>
  </si>
  <si>
    <t>CASH</t>
  </si>
  <si>
    <t>Down Payment</t>
  </si>
  <si>
    <t>cc+pp+dp</t>
  </si>
  <si>
    <t>3% investment</t>
  </si>
  <si>
    <t>difference</t>
  </si>
  <si>
    <t>diff -insp/termite</t>
  </si>
  <si>
    <t>cc/pp paid by seller</t>
  </si>
  <si>
    <t>Initials</t>
  </si>
  <si>
    <t>CONV</t>
  </si>
  <si>
    <t>ASMP</t>
  </si>
  <si>
    <t>Flood Certificate</t>
  </si>
  <si>
    <t>Inspection/Termite</t>
  </si>
  <si>
    <t>Loan Amount</t>
  </si>
  <si>
    <t>Amoritization</t>
  </si>
  <si>
    <t>Appraisal Fee</t>
  </si>
  <si>
    <t>Assumption Fee</t>
  </si>
  <si>
    <t>Attorney/Doc Fees</t>
  </si>
  <si>
    <t>Courier/Msngr Fees</t>
  </si>
  <si>
    <t>Credit Report</t>
  </si>
  <si>
    <t>Discount Points</t>
  </si>
  <si>
    <t>Escrow Fee</t>
  </si>
  <si>
    <t>Mortgagee's T.Policy</t>
  </si>
  <si>
    <t>Origination Fee</t>
  </si>
  <si>
    <t>Processing Fee</t>
  </si>
  <si>
    <t>Recording Fee</t>
  </si>
  <si>
    <t>Survey</t>
  </si>
  <si>
    <t>Tax Service Fee</t>
  </si>
  <si>
    <t>Underwriting Fee</t>
  </si>
  <si>
    <t>Funding Fee</t>
  </si>
  <si>
    <t>Total Closing Costs</t>
  </si>
  <si>
    <t>1 Year's Homeowners</t>
  </si>
  <si>
    <t>2 Mo. Homeowners/Escrow</t>
  </si>
  <si>
    <t>3 Mo. Taxes/Escrow</t>
  </si>
  <si>
    <t>2 MO.MIP/FHA INS.</t>
  </si>
  <si>
    <t>PrePaid Int.Days</t>
  </si>
  <si>
    <t>Total Pre-Paids</t>
  </si>
  <si>
    <t>Closing, Pre-Pds, Down Pay</t>
  </si>
  <si>
    <t>Earnest Money</t>
  </si>
  <si>
    <t>Other</t>
  </si>
  <si>
    <t>Inspection/Termite Fee</t>
  </si>
  <si>
    <t>Cash Needed To Close</t>
  </si>
  <si>
    <t>Monthly Estimated Payment (PITI)</t>
  </si>
  <si>
    <t>Less Credits</t>
  </si>
  <si>
    <t>Pre-Paids</t>
  </si>
  <si>
    <t>Closing Costs</t>
  </si>
  <si>
    <t>Principal &amp; Int.</t>
  </si>
  <si>
    <t>Taxes</t>
  </si>
  <si>
    <t>Insurance</t>
  </si>
  <si>
    <t>HOA FEE</t>
  </si>
  <si>
    <t>PMI/CV or MIP/FHA INS.</t>
  </si>
  <si>
    <t>Total Est. Monthly Payment</t>
  </si>
  <si>
    <t>(2) FHA/MIP =</t>
  </si>
  <si>
    <t>(3) VA/Fund =</t>
  </si>
  <si>
    <t>(1) FHA/MIP &amp; VA Funding Fees added to loan. PITI reflects.</t>
  </si>
  <si>
    <t>Date</t>
  </si>
  <si>
    <t>Agent Name:</t>
  </si>
  <si>
    <t>Phone Number:</t>
  </si>
  <si>
    <t>Note: The maximum loan of FHA is $160,176 = Sales Price $160,176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</si>
</sst>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yy/mm/dd"/>
    <numFmt numFmtId="166" formatCode="dd/mm"/>
    <numFmt numFmtId="167" formatCode="mm/dd"/>
    <numFmt numFmtId="168" formatCode="mm"/>
    <numFmt numFmtId="169" formatCode="mm/dd/yy"/>
    <numFmt numFmtId="170" formatCode="mm/dd/yyyy"/>
    <numFmt numFmtId="171" formatCode="dd/mm/yyyy"/>
    <numFmt numFmtId="172" formatCode="&quot;$&quot;#,##0"/>
    <numFmt numFmtId="173" formatCode="[$-409]h:mm:ss\ AM/PM"/>
    <numFmt numFmtId="174" formatCode="[$-F400]h:mm:ss\ AM/PM"/>
    <numFmt numFmtId="175" formatCode="[$-409]dddd\,\ mmmm\ dd\,\ yyyy"/>
  </numFmts>
  <fonts count="10">
    <font>
      <sz val="10"/>
      <color indexed="63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6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72" fontId="2" fillId="0" borderId="7" xfId="0" applyFont="1" applyBorder="1" applyAlignment="1">
      <alignment horizontal="center"/>
    </xf>
    <xf numFmtId="172" fontId="2" fillId="0" borderId="8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2" fillId="0" borderId="14" xfId="0" applyFont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172" fontId="6" fillId="3" borderId="19" xfId="0" applyFont="1" applyFill="1" applyBorder="1" applyAlignment="1">
      <alignment/>
    </xf>
    <xf numFmtId="1" fontId="2" fillId="0" borderId="20" xfId="0" applyFont="1" applyAlignment="1">
      <alignment/>
    </xf>
    <xf numFmtId="10" fontId="6" fillId="3" borderId="19" xfId="0" applyFont="1" applyFill="1" applyBorder="1" applyAlignment="1">
      <alignment/>
    </xf>
    <xf numFmtId="172" fontId="6" fillId="3" borderId="2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3" borderId="20" xfId="0" applyFont="1" applyFill="1" applyBorder="1" applyAlignment="1">
      <alignment/>
    </xf>
    <xf numFmtId="1" fontId="2" fillId="0" borderId="0" xfId="0" applyFont="1" applyAlignment="1">
      <alignment/>
    </xf>
    <xf numFmtId="1" fontId="7" fillId="0" borderId="0" xfId="0" applyFont="1" applyAlignment="1">
      <alignment/>
    </xf>
    <xf numFmtId="172" fontId="2" fillId="3" borderId="20" xfId="0" applyFont="1" applyFill="1" applyBorder="1" applyAlignment="1">
      <alignment/>
    </xf>
    <xf numFmtId="10" fontId="2" fillId="3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" fontId="3" fillId="0" borderId="23" xfId="0" applyFont="1" applyFill="1" applyAlignment="1">
      <alignment/>
    </xf>
    <xf numFmtId="3" fontId="2" fillId="0" borderId="1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2" fillId="0" borderId="20" xfId="0" applyNumberFormat="1" applyFont="1" applyAlignment="1">
      <alignment/>
    </xf>
    <xf numFmtId="3" fontId="2" fillId="0" borderId="20" xfId="0" applyNumberFormat="1" applyFont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0" fillId="0" borderId="0" xfId="0" applyNumberFormat="1" applyFont="1" applyAlignment="1">
      <alignment vertical="top"/>
    </xf>
    <xf numFmtId="3" fontId="2" fillId="0" borderId="27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2" fontId="2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2" fillId="0" borderId="38" xfId="0" applyFont="1" applyBorder="1" applyAlignment="1">
      <alignment/>
    </xf>
    <xf numFmtId="10" fontId="6" fillId="3" borderId="39" xfId="0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/>
    </xf>
    <xf numFmtId="0" fontId="3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3" borderId="40" xfId="0" applyFont="1" applyFill="1" applyBorder="1" applyAlignment="1">
      <alignment/>
    </xf>
    <xf numFmtId="3" fontId="2" fillId="0" borderId="40" xfId="0" applyNumberFormat="1" applyFont="1" applyBorder="1" applyAlignment="1">
      <alignment horizontal="right"/>
    </xf>
    <xf numFmtId="0" fontId="3" fillId="0" borderId="50" xfId="0" applyFont="1" applyBorder="1" applyAlignment="1">
      <alignment/>
    </xf>
    <xf numFmtId="0" fontId="2" fillId="0" borderId="7" xfId="0" applyFont="1" applyFill="1" applyBorder="1" applyAlignment="1">
      <alignment horizontal="left"/>
    </xf>
    <xf numFmtId="9" fontId="2" fillId="3" borderId="51" xfId="0" applyFont="1" applyFill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2" borderId="42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8" fillId="0" borderId="5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92" zoomScaleNormal="92" workbookViewId="0" topLeftCell="A29">
      <selection activeCell="A49" sqref="A49"/>
    </sheetView>
  </sheetViews>
  <sheetFormatPr defaultColWidth="50.7109375" defaultRowHeight="12.75"/>
  <cols>
    <col min="1" max="1" width="24.8515625" style="0" customWidth="1"/>
    <col min="2" max="2" width="11.8515625" style="0" bestFit="1" customWidth="1"/>
    <col min="3" max="7" width="13.28125" style="0" bestFit="1" customWidth="1"/>
    <col min="8" max="8" width="10.28125" style="0" customWidth="1"/>
    <col min="9" max="9" width="7.57421875" style="0" customWidth="1"/>
    <col min="10" max="10" width="17.57421875" style="0" customWidth="1"/>
    <col min="11" max="11" width="8.7109375" style="0" customWidth="1"/>
    <col min="12" max="16384" width="10.28125" style="0" customWidth="1"/>
  </cols>
  <sheetData>
    <row r="1" spans="1:12" ht="12.75">
      <c r="A1" s="8" t="s">
        <v>0</v>
      </c>
      <c r="B1" s="9" t="s">
        <v>1</v>
      </c>
      <c r="C1" s="76" t="s">
        <v>2</v>
      </c>
      <c r="D1" s="10"/>
      <c r="E1" s="10"/>
      <c r="F1" s="10"/>
      <c r="G1" s="11"/>
      <c r="H1" s="6"/>
      <c r="I1" s="6"/>
      <c r="J1" s="6"/>
      <c r="K1" s="6"/>
      <c r="L1" s="5"/>
    </row>
    <row r="2" spans="1:12" s="1" customFormat="1" ht="13.5" thickBot="1">
      <c r="A2" s="12">
        <v>200000</v>
      </c>
      <c r="B2" s="13"/>
      <c r="C2" s="75" t="s">
        <v>3</v>
      </c>
      <c r="D2" s="14"/>
      <c r="E2" s="15"/>
      <c r="F2" s="14"/>
      <c r="G2" s="16"/>
      <c r="H2" s="6"/>
      <c r="I2" s="6"/>
      <c r="J2" s="6"/>
      <c r="K2" s="6"/>
      <c r="L2" s="6"/>
    </row>
    <row r="3" spans="1:12" s="1" customFormat="1" ht="13.5" thickBot="1">
      <c r="A3" s="17" t="s">
        <v>50</v>
      </c>
      <c r="B3" s="18"/>
      <c r="C3" s="19" t="s">
        <v>14</v>
      </c>
      <c r="D3" s="19" t="s">
        <v>4</v>
      </c>
      <c r="E3" s="19" t="s">
        <v>5</v>
      </c>
      <c r="F3" s="19" t="s">
        <v>6</v>
      </c>
      <c r="G3" s="20" t="s">
        <v>15</v>
      </c>
      <c r="H3" s="21"/>
      <c r="I3" s="21"/>
      <c r="J3" s="21"/>
      <c r="K3" s="21"/>
      <c r="L3" s="6"/>
    </row>
    <row r="4" spans="1:12" s="1" customFormat="1" ht="12.75">
      <c r="A4" s="22" t="s">
        <v>18</v>
      </c>
      <c r="B4" s="23"/>
      <c r="C4" s="47">
        <f>A2-C31</f>
        <v>180000</v>
      </c>
      <c r="D4" s="47">
        <f>IF(I22&lt;50000,I22,J22)</f>
        <v>195500</v>
      </c>
      <c r="E4" s="47">
        <f>(A2-E31)</f>
        <v>200000</v>
      </c>
      <c r="F4" s="47">
        <f>A2-F31</f>
        <v>0</v>
      </c>
      <c r="G4" s="48">
        <f>(A2-G31)</f>
        <v>180000</v>
      </c>
      <c r="H4" s="6"/>
      <c r="I4" s="6"/>
      <c r="J4" s="6"/>
      <c r="K4" s="6"/>
      <c r="L4" s="6"/>
    </row>
    <row r="5" spans="1:12" s="1" customFormat="1" ht="12.75">
      <c r="A5" s="24" t="s">
        <v>19</v>
      </c>
      <c r="B5" s="25"/>
      <c r="C5" s="49">
        <v>25</v>
      </c>
      <c r="D5" s="49">
        <v>13</v>
      </c>
      <c r="E5" s="49">
        <v>0</v>
      </c>
      <c r="F5" s="49">
        <v>0</v>
      </c>
      <c r="G5" s="50">
        <v>0</v>
      </c>
      <c r="H5" s="6"/>
      <c r="I5" s="6"/>
      <c r="J5" s="6"/>
      <c r="K5" s="6"/>
      <c r="L5" s="6"/>
    </row>
    <row r="6" spans="1:12" s="1" customFormat="1" ht="12.75">
      <c r="A6" s="26" t="s">
        <v>20</v>
      </c>
      <c r="B6" s="27">
        <v>350</v>
      </c>
      <c r="C6" s="51">
        <f>B6</f>
        <v>350</v>
      </c>
      <c r="D6" s="51">
        <f>B6+15</f>
        <v>365</v>
      </c>
      <c r="E6" s="51">
        <f>B6+15</f>
        <v>365</v>
      </c>
      <c r="F6" s="52">
        <v>0</v>
      </c>
      <c r="G6" s="53">
        <v>0</v>
      </c>
      <c r="H6" s="6"/>
      <c r="I6" s="6"/>
      <c r="J6" s="6"/>
      <c r="K6" s="6"/>
      <c r="L6" s="6"/>
    </row>
    <row r="7" spans="1:12" s="1" customFormat="1" ht="12.75">
      <c r="A7" s="26" t="s">
        <v>21</v>
      </c>
      <c r="B7" s="27">
        <v>0</v>
      </c>
      <c r="C7" s="52">
        <v>0</v>
      </c>
      <c r="D7" s="54">
        <v>0</v>
      </c>
      <c r="E7" s="52">
        <v>0</v>
      </c>
      <c r="F7" s="52">
        <v>0</v>
      </c>
      <c r="G7" s="55">
        <f>B7</f>
        <v>0</v>
      </c>
      <c r="H7" s="6"/>
      <c r="I7" s="6"/>
      <c r="J7" s="6"/>
      <c r="K7" s="6"/>
      <c r="L7" s="6"/>
    </row>
    <row r="8" spans="1:12" s="2" customFormat="1" ht="12.75">
      <c r="A8" s="26" t="s">
        <v>22</v>
      </c>
      <c r="B8" s="27"/>
      <c r="C8" s="51">
        <v>200</v>
      </c>
      <c r="D8" s="52">
        <v>0</v>
      </c>
      <c r="E8" s="51">
        <v>0</v>
      </c>
      <c r="F8" s="51">
        <v>0</v>
      </c>
      <c r="G8" s="55">
        <v>0</v>
      </c>
      <c r="H8" s="6"/>
      <c r="I8" s="6"/>
      <c r="J8" s="6"/>
      <c r="K8" s="6"/>
      <c r="L8" s="21"/>
    </row>
    <row r="9" spans="1:12" s="1" customFormat="1" ht="12.75">
      <c r="A9" s="26" t="s">
        <v>23</v>
      </c>
      <c r="B9" s="27">
        <v>50</v>
      </c>
      <c r="C9" s="51">
        <f>B9</f>
        <v>50</v>
      </c>
      <c r="D9" s="51">
        <f>B9+10</f>
        <v>60</v>
      </c>
      <c r="E9" s="51">
        <v>0</v>
      </c>
      <c r="F9" s="51">
        <v>0</v>
      </c>
      <c r="G9" s="55">
        <f>B9</f>
        <v>50</v>
      </c>
      <c r="H9" s="6"/>
      <c r="I9" s="6"/>
      <c r="J9" s="6"/>
      <c r="K9" s="6"/>
      <c r="L9" s="6"/>
    </row>
    <row r="10" spans="1:12" s="1" customFormat="1" ht="12.75">
      <c r="A10" s="26" t="s">
        <v>24</v>
      </c>
      <c r="B10" s="27"/>
      <c r="C10" s="51">
        <v>65</v>
      </c>
      <c r="D10" s="51">
        <v>60</v>
      </c>
      <c r="E10" s="51">
        <v>60</v>
      </c>
      <c r="F10" s="51">
        <v>0</v>
      </c>
      <c r="G10" s="53">
        <v>0</v>
      </c>
      <c r="H10" s="6"/>
      <c r="I10" s="6"/>
      <c r="J10" s="6"/>
      <c r="K10" s="6"/>
      <c r="L10" s="6"/>
    </row>
    <row r="11" spans="1:12" s="1" customFormat="1" ht="12.75">
      <c r="A11" s="26" t="s">
        <v>25</v>
      </c>
      <c r="B11" s="29">
        <v>0</v>
      </c>
      <c r="C11" s="51">
        <f>C4*B11</f>
        <v>0</v>
      </c>
      <c r="D11" s="51">
        <f>D4*B11</f>
        <v>0</v>
      </c>
      <c r="E11" s="51">
        <f>E4*B11</f>
        <v>0</v>
      </c>
      <c r="F11" s="52">
        <v>0</v>
      </c>
      <c r="G11" s="55">
        <f>G4*B11</f>
        <v>0</v>
      </c>
      <c r="H11" s="6"/>
      <c r="I11" s="6"/>
      <c r="J11" s="6"/>
      <c r="K11" s="6"/>
      <c r="L11" s="6"/>
    </row>
    <row r="12" spans="1:12" s="1" customFormat="1" ht="12.75">
      <c r="A12" s="26" t="s">
        <v>26</v>
      </c>
      <c r="B12" s="27">
        <v>100</v>
      </c>
      <c r="C12" s="51">
        <f>B12</f>
        <v>100</v>
      </c>
      <c r="D12" s="51">
        <f>B12</f>
        <v>100</v>
      </c>
      <c r="E12" s="51">
        <f>B12</f>
        <v>100</v>
      </c>
      <c r="F12" s="51">
        <f>B12</f>
        <v>100</v>
      </c>
      <c r="G12" s="55">
        <f>B12</f>
        <v>100</v>
      </c>
      <c r="H12" s="6"/>
      <c r="I12" s="6"/>
      <c r="J12" s="6"/>
      <c r="K12" s="6"/>
      <c r="L12" s="6"/>
    </row>
    <row r="13" spans="1:12" s="1" customFormat="1" ht="12.75">
      <c r="A13" s="26" t="s">
        <v>16</v>
      </c>
      <c r="B13" s="27"/>
      <c r="C13" s="51">
        <v>15</v>
      </c>
      <c r="D13" s="51">
        <v>0</v>
      </c>
      <c r="E13" s="51">
        <v>0</v>
      </c>
      <c r="F13" s="51">
        <v>0</v>
      </c>
      <c r="G13" s="55">
        <v>0</v>
      </c>
      <c r="H13" s="6"/>
      <c r="I13" s="6"/>
      <c r="J13" s="6"/>
      <c r="K13" s="6"/>
      <c r="L13" s="6"/>
    </row>
    <row r="14" spans="1:12" s="1" customFormat="1" ht="12.75">
      <c r="A14" s="26" t="s">
        <v>17</v>
      </c>
      <c r="B14" s="27">
        <v>60</v>
      </c>
      <c r="C14" s="51">
        <f>B14</f>
        <v>60</v>
      </c>
      <c r="D14" s="51">
        <f>B14</f>
        <v>60</v>
      </c>
      <c r="E14" s="51">
        <v>200</v>
      </c>
      <c r="F14" s="51">
        <f>B14</f>
        <v>60</v>
      </c>
      <c r="G14" s="55">
        <f>B14</f>
        <v>60</v>
      </c>
      <c r="H14" s="6"/>
      <c r="I14" s="6"/>
      <c r="J14" s="6"/>
      <c r="K14" s="6"/>
      <c r="L14" s="6"/>
    </row>
    <row r="15" spans="1:12" s="1" customFormat="1" ht="12.75">
      <c r="A15" s="26" t="s">
        <v>27</v>
      </c>
      <c r="B15" s="30">
        <v>175</v>
      </c>
      <c r="C15" s="51">
        <v>175</v>
      </c>
      <c r="D15" s="51">
        <f>C15</f>
        <v>175</v>
      </c>
      <c r="E15" s="51">
        <f>C15</f>
        <v>175</v>
      </c>
      <c r="F15" s="51">
        <v>0</v>
      </c>
      <c r="G15" s="55">
        <v>0</v>
      </c>
      <c r="H15" s="6"/>
      <c r="I15" s="6"/>
      <c r="J15" s="6"/>
      <c r="K15" s="6"/>
      <c r="L15" s="6"/>
    </row>
    <row r="16" spans="1:12" s="1" customFormat="1" ht="12.75">
      <c r="A16" s="26" t="s">
        <v>28</v>
      </c>
      <c r="B16" s="29">
        <v>0.01</v>
      </c>
      <c r="C16" s="51">
        <f>C4*B16</f>
        <v>1800</v>
      </c>
      <c r="D16" s="51">
        <f>A2*B16</f>
        <v>2000</v>
      </c>
      <c r="E16" s="51">
        <f>E4*B16</f>
        <v>2000</v>
      </c>
      <c r="F16" s="52">
        <v>0</v>
      </c>
      <c r="G16" s="53">
        <v>0</v>
      </c>
      <c r="H16" s="6"/>
      <c r="I16" s="6"/>
      <c r="J16" s="6"/>
      <c r="K16" s="6"/>
      <c r="L16" s="6"/>
    </row>
    <row r="17" spans="1:12" s="1" customFormat="1" ht="12.75">
      <c r="A17" s="26" t="s">
        <v>29</v>
      </c>
      <c r="B17" s="27">
        <v>300</v>
      </c>
      <c r="C17" s="51">
        <f>B17</f>
        <v>300</v>
      </c>
      <c r="D17" s="51">
        <v>0</v>
      </c>
      <c r="E17" s="51">
        <v>0</v>
      </c>
      <c r="F17" s="51">
        <v>0</v>
      </c>
      <c r="G17" s="55">
        <v>0</v>
      </c>
      <c r="H17" s="6"/>
      <c r="I17" s="6"/>
      <c r="J17" s="6"/>
      <c r="K17" s="6"/>
      <c r="L17" s="6"/>
    </row>
    <row r="18" spans="1:12" s="1" customFormat="1" ht="12.75">
      <c r="A18" s="26" t="s">
        <v>30</v>
      </c>
      <c r="B18" s="27">
        <v>50</v>
      </c>
      <c r="C18" s="51">
        <f>B18</f>
        <v>50</v>
      </c>
      <c r="D18" s="51">
        <f>B18</f>
        <v>50</v>
      </c>
      <c r="E18" s="51">
        <v>35</v>
      </c>
      <c r="F18" s="51">
        <f>B18</f>
        <v>50</v>
      </c>
      <c r="G18" s="55">
        <f>B18</f>
        <v>50</v>
      </c>
      <c r="H18" s="6"/>
      <c r="I18" s="6"/>
      <c r="J18" s="6"/>
      <c r="K18" s="6"/>
      <c r="L18" s="6"/>
    </row>
    <row r="19" spans="1:12" s="1" customFormat="1" ht="12.75">
      <c r="A19" s="26" t="s">
        <v>31</v>
      </c>
      <c r="B19" s="27">
        <v>400</v>
      </c>
      <c r="C19" s="51">
        <f>B19</f>
        <v>400</v>
      </c>
      <c r="D19" s="51">
        <f>B19</f>
        <v>400</v>
      </c>
      <c r="E19" s="51">
        <f>B19</f>
        <v>400</v>
      </c>
      <c r="F19" s="51">
        <f>B19</f>
        <v>400</v>
      </c>
      <c r="G19" s="55">
        <f>B19</f>
        <v>400</v>
      </c>
      <c r="H19" s="6"/>
      <c r="I19" s="6"/>
      <c r="J19" s="6"/>
      <c r="K19" s="6"/>
      <c r="L19" s="6"/>
    </row>
    <row r="20" spans="1:12" s="1" customFormat="1" ht="12.75">
      <c r="A20" s="26" t="s">
        <v>32</v>
      </c>
      <c r="B20" s="27">
        <v>115</v>
      </c>
      <c r="C20" s="51">
        <f>B20</f>
        <v>115</v>
      </c>
      <c r="D20" s="51">
        <v>0</v>
      </c>
      <c r="E20" s="51">
        <v>0</v>
      </c>
      <c r="F20" s="51">
        <v>0</v>
      </c>
      <c r="G20" s="55">
        <v>0</v>
      </c>
      <c r="H20" s="6"/>
      <c r="I20" s="6"/>
      <c r="J20" s="6"/>
      <c r="K20" s="6"/>
      <c r="L20" s="6"/>
    </row>
    <row r="21" spans="1:12" s="1" customFormat="1" ht="12.75">
      <c r="A21" s="26" t="s">
        <v>33</v>
      </c>
      <c r="B21" s="27">
        <v>350</v>
      </c>
      <c r="C21" s="51">
        <f>B21</f>
        <v>350</v>
      </c>
      <c r="D21" s="51">
        <v>0</v>
      </c>
      <c r="E21" s="51">
        <v>0</v>
      </c>
      <c r="F21" s="51">
        <v>0</v>
      </c>
      <c r="G21" s="55">
        <v>0</v>
      </c>
      <c r="H21" s="6"/>
      <c r="I21" s="6"/>
      <c r="J21" s="6"/>
      <c r="K21" s="6"/>
      <c r="L21" s="6"/>
    </row>
    <row r="22" spans="1:12" s="1" customFormat="1" ht="12.75">
      <c r="A22" s="77" t="s">
        <v>34</v>
      </c>
      <c r="B22" s="78">
        <v>0.01</v>
      </c>
      <c r="C22" s="79">
        <v>175</v>
      </c>
      <c r="D22" s="80">
        <v>0</v>
      </c>
      <c r="E22" s="80">
        <v>0</v>
      </c>
      <c r="F22" s="80">
        <v>0</v>
      </c>
      <c r="G22" s="81">
        <v>0</v>
      </c>
      <c r="H22" s="6"/>
      <c r="I22" s="31">
        <f>IF(I23-ROUND(I23,-2)&lt;0,ROUND(I23,-2)-50,IF(I23-ROUND(I23,-2)=50,ROUND(I23,-2)+50,ROUND(I23,-2)))</f>
        <v>197500</v>
      </c>
      <c r="J22" s="31">
        <f>IF(J23-ROUND(J23,-2)&lt;0,ROUND(J23,-2)-50,IF(J23-ROUND(J23,-2)=50,ROUND(J23,-2)+50,ROUND(J23,-2)))</f>
        <v>195500</v>
      </c>
      <c r="K22" s="31">
        <f>D4*0.0225</f>
        <v>4398.75</v>
      </c>
      <c r="L22" s="6"/>
    </row>
    <row r="23" spans="1:12" s="1" customFormat="1" ht="12.75">
      <c r="A23" s="87" t="s">
        <v>35</v>
      </c>
      <c r="B23" s="88"/>
      <c r="C23" s="89">
        <f>SUM(C5:C22)</f>
        <v>4230</v>
      </c>
      <c r="D23" s="89">
        <f>SUM(D5:D22)</f>
        <v>3283</v>
      </c>
      <c r="E23" s="89">
        <f>SUM(E5:E22)-E22</f>
        <v>3335</v>
      </c>
      <c r="F23" s="89">
        <f>SUM(F5:F22)</f>
        <v>610</v>
      </c>
      <c r="G23" s="90">
        <f>SUM(G5:G22)</f>
        <v>660</v>
      </c>
      <c r="H23" s="6"/>
      <c r="I23" s="31">
        <f>A2*0.9875</f>
        <v>197500</v>
      </c>
      <c r="J23" s="31">
        <f>A2*0.9775</f>
        <v>195500</v>
      </c>
      <c r="K23" s="6"/>
      <c r="L23" s="6"/>
    </row>
    <row r="24" spans="1:12" s="1" customFormat="1" ht="12.75">
      <c r="A24" s="82" t="s">
        <v>49</v>
      </c>
      <c r="B24" s="83"/>
      <c r="C24" s="84"/>
      <c r="D24" s="85"/>
      <c r="E24" s="85"/>
      <c r="F24" s="85"/>
      <c r="G24" s="86"/>
      <c r="H24" s="6"/>
      <c r="I24" s="28">
        <f>E4*B22</f>
        <v>2000</v>
      </c>
      <c r="J24" s="6"/>
      <c r="K24" s="6"/>
      <c r="L24" s="6"/>
    </row>
    <row r="25" spans="1:12" s="1" customFormat="1" ht="12.75">
      <c r="A25" s="32" t="s">
        <v>36</v>
      </c>
      <c r="B25" s="33">
        <v>0</v>
      </c>
      <c r="C25" s="51">
        <f>B25</f>
        <v>0</v>
      </c>
      <c r="D25" s="51">
        <f>B25</f>
        <v>0</v>
      </c>
      <c r="E25" s="51">
        <f>B25</f>
        <v>0</v>
      </c>
      <c r="F25" s="51">
        <f>B25</f>
        <v>0</v>
      </c>
      <c r="G25" s="55">
        <f>B25</f>
        <v>0</v>
      </c>
      <c r="H25" s="6"/>
      <c r="I25" s="6"/>
      <c r="J25" s="6"/>
      <c r="K25" s="6"/>
      <c r="L25" s="6"/>
    </row>
    <row r="26" spans="1:12" s="1" customFormat="1" ht="12.75">
      <c r="A26" s="32" t="s">
        <v>37</v>
      </c>
      <c r="B26" s="33">
        <v>0</v>
      </c>
      <c r="C26" s="51">
        <f>B26</f>
        <v>0</v>
      </c>
      <c r="D26" s="51">
        <f>B26</f>
        <v>0</v>
      </c>
      <c r="E26" s="51">
        <f>B26</f>
        <v>0</v>
      </c>
      <c r="F26" s="51">
        <f>B26</f>
        <v>0</v>
      </c>
      <c r="G26" s="55">
        <f>B26</f>
        <v>0</v>
      </c>
      <c r="H26" s="6"/>
      <c r="I26" s="6"/>
      <c r="J26" s="6"/>
      <c r="K26" s="6"/>
      <c r="L26" s="6"/>
    </row>
    <row r="27" spans="1:12" s="1" customFormat="1" ht="12.75">
      <c r="A27" s="32" t="s">
        <v>38</v>
      </c>
      <c r="B27" s="33">
        <v>0</v>
      </c>
      <c r="C27" s="51">
        <f>B27</f>
        <v>0</v>
      </c>
      <c r="D27" s="51">
        <f>B27</f>
        <v>0</v>
      </c>
      <c r="E27" s="51">
        <f>B27</f>
        <v>0</v>
      </c>
      <c r="F27" s="51">
        <f>B27</f>
        <v>0</v>
      </c>
      <c r="G27" s="55">
        <f>B27</f>
        <v>0</v>
      </c>
      <c r="H27" s="6"/>
      <c r="I27" s="6"/>
      <c r="J27" s="6"/>
      <c r="K27" s="6"/>
      <c r="L27" s="6"/>
    </row>
    <row r="28" spans="1:12" s="1" customFormat="1" ht="12.75">
      <c r="A28" s="32" t="s">
        <v>39</v>
      </c>
      <c r="B28" s="33"/>
      <c r="C28" s="51">
        <v>0</v>
      </c>
      <c r="D28" s="51">
        <f>D4*0.005/12*2</f>
        <v>162.91666666666666</v>
      </c>
      <c r="E28" s="52">
        <v>0</v>
      </c>
      <c r="F28" s="52">
        <v>0</v>
      </c>
      <c r="G28" s="53">
        <v>0</v>
      </c>
      <c r="H28" s="6"/>
      <c r="I28" s="6"/>
      <c r="J28" s="6"/>
      <c r="K28" s="6"/>
      <c r="L28" s="6"/>
    </row>
    <row r="29" spans="1:12" s="1" customFormat="1" ht="12.75">
      <c r="A29" s="91" t="s">
        <v>40</v>
      </c>
      <c r="B29" s="92">
        <v>14</v>
      </c>
      <c r="C29" s="79">
        <f>C4*B41/365*B29</f>
        <v>552.3287671232877</v>
      </c>
      <c r="D29" s="79">
        <f>D4*B41/365*B29</f>
        <v>599.8904109589041</v>
      </c>
      <c r="E29" s="79">
        <f>E4*B41/365*B29</f>
        <v>613.6986301369863</v>
      </c>
      <c r="F29" s="93">
        <v>0</v>
      </c>
      <c r="G29" s="81">
        <f>G4*B41/365*B29</f>
        <v>552.3287671232877</v>
      </c>
      <c r="H29" s="6"/>
      <c r="I29" s="34"/>
      <c r="J29" s="6"/>
      <c r="K29" s="6"/>
      <c r="L29" s="6"/>
    </row>
    <row r="30" spans="1:12" s="1" customFormat="1" ht="12.75">
      <c r="A30" s="87" t="s">
        <v>41</v>
      </c>
      <c r="B30" s="94"/>
      <c r="C30" s="89">
        <f>SUM(C25:C29)</f>
        <v>552.3287671232877</v>
      </c>
      <c r="D30" s="89">
        <f>SUM(D25:D29)</f>
        <v>762.8070776255707</v>
      </c>
      <c r="E30" s="89">
        <f>SUM(E25:E29)</f>
        <v>613.6986301369863</v>
      </c>
      <c r="F30" s="89">
        <f>SUM(F25:F29)</f>
        <v>0</v>
      </c>
      <c r="G30" s="90">
        <f>SUM(G25:G29)</f>
        <v>552.3287671232877</v>
      </c>
      <c r="H30" s="6"/>
      <c r="I30" s="35"/>
      <c r="J30" s="6"/>
      <c r="K30" s="6"/>
      <c r="L30" s="6"/>
    </row>
    <row r="31" spans="1:12" s="1" customFormat="1" ht="12.75">
      <c r="A31" s="95" t="s">
        <v>7</v>
      </c>
      <c r="B31" s="96">
        <v>0.1</v>
      </c>
      <c r="C31" s="97">
        <f>A2*B31</f>
        <v>20000</v>
      </c>
      <c r="D31" s="97">
        <f>A2-D4</f>
        <v>4500</v>
      </c>
      <c r="E31" s="97">
        <v>0</v>
      </c>
      <c r="F31" s="97">
        <f>A2</f>
        <v>200000</v>
      </c>
      <c r="G31" s="98">
        <f>A2*B31</f>
        <v>20000</v>
      </c>
      <c r="H31" s="6"/>
      <c r="I31" s="34"/>
      <c r="J31" s="6"/>
      <c r="K31" s="6"/>
      <c r="L31" s="6"/>
    </row>
    <row r="32" spans="1:12" s="1" customFormat="1" ht="12.75">
      <c r="A32" s="87" t="s">
        <v>42</v>
      </c>
      <c r="B32" s="94"/>
      <c r="C32" s="99">
        <f>C23+C30+C31</f>
        <v>24782.328767123287</v>
      </c>
      <c r="D32" s="99">
        <f>D23+D30+D31</f>
        <v>8545.80707762557</v>
      </c>
      <c r="E32" s="99">
        <f>E23+E30+E31</f>
        <v>3948.698630136986</v>
      </c>
      <c r="F32" s="99">
        <f>F23+F30+F31</f>
        <v>200610</v>
      </c>
      <c r="G32" s="100">
        <f>G23+G30+G31</f>
        <v>21212.328767123287</v>
      </c>
      <c r="H32" s="6"/>
      <c r="I32" s="35"/>
      <c r="J32" s="6"/>
      <c r="K32" s="6"/>
      <c r="L32" s="6"/>
    </row>
    <row r="33" spans="1:12" s="1" customFormat="1" ht="12.75">
      <c r="A33" s="82" t="s">
        <v>48</v>
      </c>
      <c r="B33" s="83"/>
      <c r="C33" s="84"/>
      <c r="D33" s="85"/>
      <c r="E33" s="85"/>
      <c r="F33" s="85"/>
      <c r="G33" s="86"/>
      <c r="H33" s="6"/>
      <c r="I33" s="34"/>
      <c r="J33" s="6"/>
      <c r="K33" s="6"/>
      <c r="L33" s="6"/>
    </row>
    <row r="34" spans="1:12" s="1" customFormat="1" ht="12.75">
      <c r="A34" s="32" t="s">
        <v>43</v>
      </c>
      <c r="B34" s="36">
        <v>0</v>
      </c>
      <c r="C34" s="51">
        <f>B34</f>
        <v>0</v>
      </c>
      <c r="D34" s="51">
        <f>C34</f>
        <v>0</v>
      </c>
      <c r="E34" s="51">
        <f>D34</f>
        <v>0</v>
      </c>
      <c r="F34" s="51">
        <f>B34</f>
        <v>0</v>
      </c>
      <c r="G34" s="55">
        <f>B34</f>
        <v>0</v>
      </c>
      <c r="H34" s="6"/>
      <c r="I34" s="6"/>
      <c r="J34" s="6"/>
      <c r="K34" s="6"/>
      <c r="L34" s="6"/>
    </row>
    <row r="35" spans="1:12" s="1" customFormat="1" ht="12.75">
      <c r="A35" s="32" t="s">
        <v>20</v>
      </c>
      <c r="B35" s="33"/>
      <c r="C35" s="51">
        <f>C6</f>
        <v>350</v>
      </c>
      <c r="D35" s="51">
        <f>D6</f>
        <v>365</v>
      </c>
      <c r="E35" s="51">
        <f>E6</f>
        <v>365</v>
      </c>
      <c r="F35" s="51">
        <v>0</v>
      </c>
      <c r="G35" s="55">
        <v>0</v>
      </c>
      <c r="H35" s="6"/>
      <c r="I35" s="34">
        <f>D32</f>
        <v>8545.80707762557</v>
      </c>
      <c r="J35" s="31" t="s">
        <v>8</v>
      </c>
      <c r="K35" s="6"/>
      <c r="L35" s="6"/>
    </row>
    <row r="36" spans="1:12" s="1" customFormat="1" ht="12.75">
      <c r="A36" s="32" t="s">
        <v>24</v>
      </c>
      <c r="B36" s="33"/>
      <c r="C36" s="51">
        <f>C10</f>
        <v>65</v>
      </c>
      <c r="D36" s="51">
        <f>D10</f>
        <v>60</v>
      </c>
      <c r="E36" s="51">
        <f>E10</f>
        <v>60</v>
      </c>
      <c r="F36" s="51">
        <v>0</v>
      </c>
      <c r="G36" s="55">
        <v>0</v>
      </c>
      <c r="H36" s="6"/>
      <c r="I36" s="35">
        <f>A2*0.03</f>
        <v>6000</v>
      </c>
      <c r="J36" s="31" t="s">
        <v>9</v>
      </c>
      <c r="K36" s="6"/>
      <c r="L36" s="6"/>
    </row>
    <row r="37" spans="1:12" s="1" customFormat="1" ht="12.75">
      <c r="A37" s="32" t="s">
        <v>44</v>
      </c>
      <c r="B37" s="36">
        <v>0</v>
      </c>
      <c r="C37" s="51">
        <f>B37</f>
        <v>0</v>
      </c>
      <c r="D37" s="51">
        <f>C37</f>
        <v>0</v>
      </c>
      <c r="E37" s="51">
        <f>D37</f>
        <v>0</v>
      </c>
      <c r="F37" s="51">
        <f>E37</f>
        <v>0</v>
      </c>
      <c r="G37" s="55">
        <f>F37</f>
        <v>0</v>
      </c>
      <c r="H37" s="6"/>
      <c r="I37" s="34">
        <f>I35-I36</f>
        <v>2545.80707762557</v>
      </c>
      <c r="J37" s="31" t="s">
        <v>10</v>
      </c>
      <c r="K37" s="6"/>
      <c r="L37" s="6"/>
    </row>
    <row r="38" spans="1:12" s="1" customFormat="1" ht="13.5" thickBot="1">
      <c r="A38" s="91" t="s">
        <v>45</v>
      </c>
      <c r="B38" s="92"/>
      <c r="C38" s="79">
        <f>C14</f>
        <v>60</v>
      </c>
      <c r="D38" s="79">
        <f>D14</f>
        <v>60</v>
      </c>
      <c r="E38" s="79">
        <v>200</v>
      </c>
      <c r="F38" s="79">
        <f>F14</f>
        <v>60</v>
      </c>
      <c r="G38" s="81">
        <f>G14</f>
        <v>60</v>
      </c>
      <c r="H38" s="6"/>
      <c r="I38" s="34">
        <f>D14</f>
        <v>60</v>
      </c>
      <c r="J38" s="31" t="s">
        <v>11</v>
      </c>
      <c r="K38" s="6"/>
      <c r="L38" s="6"/>
    </row>
    <row r="39" spans="1:12" s="1" customFormat="1" ht="13.5" thickBot="1">
      <c r="A39" s="102" t="s">
        <v>46</v>
      </c>
      <c r="B39" s="103"/>
      <c r="C39" s="99">
        <f>C32-SUM(C34:C38)</f>
        <v>24307.328767123287</v>
      </c>
      <c r="D39" s="99">
        <f>D32-SUM(D34:D38)</f>
        <v>8060.80707762557</v>
      </c>
      <c r="E39" s="99">
        <f>E32-SUM(E34:E38)</f>
        <v>3323.698630136986</v>
      </c>
      <c r="F39" s="99">
        <f>F32-SUM(F34:F38)</f>
        <v>200550</v>
      </c>
      <c r="G39" s="100">
        <f>G32-SUM(G34:G38)</f>
        <v>21152.328767123287</v>
      </c>
      <c r="H39" s="6"/>
      <c r="I39" s="46">
        <f>I37-I38</f>
        <v>2485.80707762557</v>
      </c>
      <c r="J39" s="31" t="s">
        <v>12</v>
      </c>
      <c r="K39" s="6"/>
      <c r="L39" s="6"/>
    </row>
    <row r="40" spans="1:12" s="1" customFormat="1" ht="12.75">
      <c r="A40" s="101" t="s">
        <v>47</v>
      </c>
      <c r="B40" s="83"/>
      <c r="C40" s="84"/>
      <c r="D40" s="104"/>
      <c r="E40" s="105"/>
      <c r="F40" s="106"/>
      <c r="G40" s="107"/>
      <c r="H40" s="6"/>
      <c r="I40" s="6"/>
      <c r="J40" s="6"/>
      <c r="K40" s="6"/>
      <c r="L40" s="6"/>
    </row>
    <row r="41" spans="1:12" s="1" customFormat="1" ht="12.75">
      <c r="A41" s="32" t="s">
        <v>51</v>
      </c>
      <c r="B41" s="37">
        <v>0.08</v>
      </c>
      <c r="C41" s="65">
        <f>PMT(B41/12,360,-(C4))</f>
        <v>1320.7762329828797</v>
      </c>
      <c r="D41" s="65">
        <f>PMT(B41/12,360,-(D4+K22))</f>
        <v>1466.7862111277025</v>
      </c>
      <c r="E41" s="65">
        <f>PMT(B41/12,360,-(E4+I24))</f>
        <v>1482.2044392363428</v>
      </c>
      <c r="F41" s="110"/>
      <c r="G41" s="111"/>
      <c r="H41" s="6"/>
      <c r="I41" s="6"/>
      <c r="J41" s="6"/>
      <c r="K41" s="6"/>
      <c r="L41" s="6"/>
    </row>
    <row r="42" spans="1:12" s="1" customFormat="1" ht="12.75">
      <c r="A42" s="32" t="s">
        <v>52</v>
      </c>
      <c r="B42" s="36">
        <v>0</v>
      </c>
      <c r="C42" s="51">
        <f>B42/12</f>
        <v>0</v>
      </c>
      <c r="D42" s="51">
        <f>B42/12</f>
        <v>0</v>
      </c>
      <c r="E42" s="51">
        <f>B42/12</f>
        <v>0</v>
      </c>
      <c r="F42" s="108"/>
      <c r="G42" s="109"/>
      <c r="H42" s="6"/>
      <c r="I42" s="6"/>
      <c r="J42" s="6"/>
      <c r="K42" s="6"/>
      <c r="L42" s="6"/>
    </row>
    <row r="43" spans="1:12" s="1" customFormat="1" ht="12.75">
      <c r="A43" s="32" t="s">
        <v>53</v>
      </c>
      <c r="B43" s="36">
        <v>0</v>
      </c>
      <c r="C43" s="51">
        <f>B43/12</f>
        <v>0</v>
      </c>
      <c r="D43" s="51">
        <f>B43/12</f>
        <v>0</v>
      </c>
      <c r="E43" s="51">
        <f>B43/12</f>
        <v>0</v>
      </c>
      <c r="F43" s="56"/>
      <c r="G43" s="57"/>
      <c r="H43" s="6"/>
      <c r="I43" s="6"/>
      <c r="J43" s="6"/>
      <c r="K43" s="6"/>
      <c r="L43" s="6"/>
    </row>
    <row r="44" spans="1:12" s="1" customFormat="1" ht="12.75">
      <c r="A44" s="32" t="s">
        <v>54</v>
      </c>
      <c r="B44" s="36">
        <v>0</v>
      </c>
      <c r="C44" s="51">
        <f>B44</f>
        <v>0</v>
      </c>
      <c r="D44" s="51">
        <f>C44</f>
        <v>0</v>
      </c>
      <c r="E44" s="51">
        <f>D44</f>
        <v>0</v>
      </c>
      <c r="F44" s="58"/>
      <c r="G44" s="59"/>
      <c r="H44" s="6"/>
      <c r="I44" s="6"/>
      <c r="J44" s="6"/>
      <c r="K44" s="6"/>
      <c r="L44" s="6"/>
    </row>
    <row r="45" spans="1:12" s="1" customFormat="1" ht="12.75">
      <c r="A45" s="32" t="s">
        <v>55</v>
      </c>
      <c r="B45" s="33"/>
      <c r="C45" s="51">
        <f>IF(B31&lt;0.2,C4*0.00785/12,0)</f>
        <v>117.74999999999999</v>
      </c>
      <c r="D45" s="51">
        <f>D4*0.005/12*1</f>
        <v>81.45833333333333</v>
      </c>
      <c r="E45" s="52">
        <v>0</v>
      </c>
      <c r="F45" s="60"/>
      <c r="G45" s="61"/>
      <c r="H45" s="6"/>
      <c r="I45" s="6"/>
      <c r="J45" s="6"/>
      <c r="K45" s="6"/>
      <c r="L45" s="6"/>
    </row>
    <row r="46" spans="1:12" s="1" customFormat="1" ht="13.5" thickBot="1">
      <c r="A46" s="3" t="s">
        <v>56</v>
      </c>
      <c r="B46" s="4"/>
      <c r="C46" s="62">
        <f>SUM(C41:C45)</f>
        <v>1438.5262329828797</v>
      </c>
      <c r="D46" s="62">
        <f>SUM(D41:D45)</f>
        <v>1548.2445444610357</v>
      </c>
      <c r="E46" s="62">
        <f>SUM(E41:E45)</f>
        <v>1482.2044392363428</v>
      </c>
      <c r="F46" s="63"/>
      <c r="G46" s="64"/>
      <c r="H46" s="6"/>
      <c r="I46" s="6"/>
      <c r="J46" s="6"/>
      <c r="K46" s="6"/>
      <c r="L46" s="6"/>
    </row>
    <row r="47" spans="1:12" s="1" customFormat="1" ht="12.75">
      <c r="A47" s="38" t="s">
        <v>63</v>
      </c>
      <c r="B47" s="39"/>
      <c r="C47" s="39"/>
      <c r="D47" s="40"/>
      <c r="E47" s="41"/>
      <c r="F47" s="40"/>
      <c r="G47" s="41"/>
      <c r="H47" s="5"/>
      <c r="I47" s="31"/>
      <c r="J47" s="5"/>
      <c r="K47" s="5"/>
      <c r="L47" s="6"/>
    </row>
    <row r="48" spans="1:12" s="1" customFormat="1" ht="12.75">
      <c r="A48" s="39" t="s">
        <v>59</v>
      </c>
      <c r="B48" s="31"/>
      <c r="C48" s="31"/>
      <c r="D48" s="31"/>
      <c r="E48" s="31"/>
      <c r="F48" s="31"/>
      <c r="G48" s="31"/>
      <c r="H48" s="6"/>
      <c r="I48" s="6"/>
      <c r="J48" s="6"/>
      <c r="K48" s="6"/>
      <c r="L48" s="6"/>
    </row>
    <row r="49" spans="1:12" s="1" customFormat="1" ht="12.75">
      <c r="A49" s="42" t="s">
        <v>57</v>
      </c>
      <c r="B49" s="41">
        <f>K22</f>
        <v>4398.75</v>
      </c>
      <c r="C49" s="31"/>
      <c r="D49" s="31"/>
      <c r="E49" s="31"/>
      <c r="F49" s="31"/>
      <c r="G49" s="31"/>
      <c r="H49" s="6"/>
      <c r="I49" s="6"/>
      <c r="J49" s="6"/>
      <c r="K49" s="6"/>
      <c r="L49" s="6"/>
    </row>
    <row r="50" spans="1:12" s="1" customFormat="1" ht="12.75">
      <c r="A50" s="42" t="s">
        <v>58</v>
      </c>
      <c r="B50" s="43">
        <f>I24</f>
        <v>2000</v>
      </c>
      <c r="C50" s="31"/>
      <c r="D50" s="31"/>
      <c r="E50" s="31"/>
      <c r="F50" s="31"/>
      <c r="G50" s="31"/>
      <c r="H50" s="6"/>
      <c r="I50" s="6"/>
      <c r="J50" s="6"/>
      <c r="K50" s="6"/>
      <c r="L50" s="6"/>
    </row>
    <row r="51" spans="1:12" s="1" customFormat="1" ht="12.75">
      <c r="A51" s="45"/>
      <c r="B51" s="45"/>
      <c r="C51" s="45"/>
      <c r="D51" s="45"/>
      <c r="E51" s="31"/>
      <c r="F51" s="45"/>
      <c r="G51" s="45"/>
      <c r="H51" s="6"/>
      <c r="I51" s="6"/>
      <c r="J51" s="6"/>
      <c r="K51" s="6"/>
      <c r="L51" s="6"/>
    </row>
    <row r="52" spans="1:12" ht="12.75">
      <c r="A52" s="73" t="s">
        <v>61</v>
      </c>
      <c r="B52" s="67"/>
      <c r="C52" s="67"/>
      <c r="D52" s="68"/>
      <c r="E52" s="69">
        <f ca="1">TODAY()</f>
        <v>38218</v>
      </c>
      <c r="F52" s="71"/>
      <c r="G52" s="72"/>
      <c r="H52" s="5"/>
      <c r="I52" s="31"/>
      <c r="J52" s="5"/>
      <c r="K52" s="5"/>
      <c r="L52" s="5"/>
    </row>
    <row r="53" spans="1:12" s="1" customFormat="1" ht="13.5" customHeight="1">
      <c r="A53" s="74" t="s">
        <v>62</v>
      </c>
      <c r="B53" s="67"/>
      <c r="C53" s="67"/>
      <c r="D53" s="67"/>
      <c r="E53" s="66" t="s">
        <v>60</v>
      </c>
      <c r="F53" s="70" t="s">
        <v>13</v>
      </c>
      <c r="G53" s="70" t="s">
        <v>13</v>
      </c>
      <c r="H53" s="6"/>
      <c r="I53" s="6"/>
      <c r="J53" s="6"/>
      <c r="K53" s="6"/>
      <c r="L53" s="6"/>
    </row>
    <row r="54" spans="1:12" s="1" customFormat="1" ht="13.5" customHeight="1">
      <c r="A54" s="42"/>
      <c r="B54" s="41"/>
      <c r="C54" s="39"/>
      <c r="D54" s="39"/>
      <c r="E54" s="44"/>
      <c r="F54" s="31"/>
      <c r="G54" s="31"/>
      <c r="H54" s="6"/>
      <c r="I54" s="6"/>
      <c r="J54" s="6"/>
      <c r="K54" s="6"/>
      <c r="L54" s="6"/>
    </row>
    <row r="55" spans="1:12" s="1" customFormat="1" ht="13.5" customHeight="1">
      <c r="A55" s="42"/>
      <c r="B55" s="43"/>
      <c r="C55" s="31"/>
      <c r="D55" s="31"/>
      <c r="E55" s="31"/>
      <c r="F55" s="31"/>
      <c r="G55" s="31"/>
      <c r="H55" s="6"/>
      <c r="I55" s="6"/>
      <c r="J55" s="6"/>
      <c r="K55" s="6"/>
      <c r="L55" s="6"/>
    </row>
    <row r="56" spans="1:12" s="1" customFormat="1" ht="13.5" customHeight="1">
      <c r="A56" s="31"/>
      <c r="B56" s="31"/>
      <c r="C56" s="31"/>
      <c r="D56" s="31"/>
      <c r="E56" s="31"/>
      <c r="F56" s="31"/>
      <c r="G56" s="31"/>
      <c r="H56" s="6"/>
      <c r="I56" s="6"/>
      <c r="J56" s="6"/>
      <c r="K56" s="6"/>
      <c r="L56" s="6"/>
    </row>
    <row r="57" spans="1:12" s="1" customFormat="1" ht="13.5" customHeight="1">
      <c r="A57" s="31"/>
      <c r="B57" s="31"/>
      <c r="C57" s="31"/>
      <c r="D57" s="31"/>
      <c r="E57" s="31"/>
      <c r="F57" s="7"/>
      <c r="G57" s="31"/>
      <c r="H57" s="6"/>
      <c r="I57" s="6"/>
      <c r="J57" s="6"/>
      <c r="K57" s="6"/>
      <c r="L57" s="6"/>
    </row>
    <row r="58" spans="1:12" s="1" customFormat="1" ht="13.5" customHeight="1">
      <c r="A58" s="31"/>
      <c r="B58" s="31"/>
      <c r="C58" s="31"/>
      <c r="D58" s="31"/>
      <c r="E58" s="31"/>
      <c r="F58" s="31"/>
      <c r="G58" s="31"/>
      <c r="H58" s="6"/>
      <c r="I58" s="6"/>
      <c r="J58" s="6"/>
      <c r="K58" s="6"/>
      <c r="L58" s="6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printOptions horizontalCentered="1" verticalCentered="1"/>
  <pageMargins left="0.25" right="0" top="1.02" bottom="0" header="0.34" footer="0"/>
  <pageSetup firstPageNumber="0" useFirstPageNumber="1" horizontalDpi="600" verticalDpi="600" orientation="portrait" r:id="rId1"/>
  <headerFooter alignWithMargins="0">
    <oddHeader>&amp;CSTANBERRY &amp; ASSOCIATES
BUYER'S ESTIMATED CLOSING COSTS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2004-08-17T18:20:09Z</cp:lastPrinted>
  <dcterms:created xsi:type="dcterms:W3CDTF">2004-08-17T16:36:21Z</dcterms:created>
  <dcterms:modified xsi:type="dcterms:W3CDTF">2004-08-19T20:53:19Z</dcterms:modified>
  <cp:category/>
  <cp:version/>
  <cp:contentType/>
  <cp:contentStatus/>
</cp:coreProperties>
</file>